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0" yWindow="0" windowWidth="20400" windowHeight="14980" tabRatio="500" activeTab="1"/>
  </bookViews>
  <sheets>
    <sheet name="ODDS RATIOS" sheetId="4" r:id="rId1"/>
    <sheet name="Random" sheetId="5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8" i="5" l="1"/>
  <c r="L10" i="5"/>
  <c r="L8" i="5"/>
  <c r="G12" i="5"/>
  <c r="G11" i="5"/>
  <c r="G9" i="5"/>
  <c r="G10" i="5"/>
  <c r="K10" i="5"/>
  <c r="K8" i="5"/>
  <c r="I6" i="5"/>
  <c r="I5" i="5"/>
  <c r="I4" i="5"/>
  <c r="I3" i="5"/>
  <c r="I2" i="5"/>
  <c r="G8" i="5"/>
  <c r="J7" i="5"/>
  <c r="J6" i="5"/>
  <c r="J5" i="5"/>
  <c r="J4" i="5"/>
  <c r="J3" i="5"/>
  <c r="J2" i="5"/>
  <c r="D2" i="5"/>
  <c r="C2" i="5"/>
  <c r="F2" i="5"/>
  <c r="G2" i="5"/>
  <c r="E2" i="5"/>
  <c r="H2" i="5"/>
  <c r="F3" i="5"/>
  <c r="G3" i="5"/>
  <c r="E3" i="5"/>
  <c r="H3" i="5"/>
  <c r="C4" i="5"/>
  <c r="F4" i="5"/>
  <c r="G4" i="5"/>
  <c r="E4" i="5"/>
  <c r="H4" i="5"/>
  <c r="D5" i="5"/>
  <c r="C5" i="5"/>
  <c r="F5" i="5"/>
  <c r="G5" i="5"/>
  <c r="E5" i="5"/>
  <c r="H5" i="5"/>
  <c r="D6" i="5"/>
  <c r="C6" i="5"/>
  <c r="F6" i="5"/>
  <c r="G6" i="5"/>
  <c r="E6" i="5"/>
  <c r="H6" i="5"/>
  <c r="H7" i="5"/>
  <c r="G7" i="5"/>
  <c r="D2" i="4"/>
  <c r="C2" i="4"/>
  <c r="F2" i="4"/>
  <c r="G2" i="4"/>
  <c r="E2" i="4"/>
  <c r="H2" i="4"/>
  <c r="H7" i="4"/>
  <c r="G7" i="4"/>
  <c r="H8" i="4"/>
  <c r="J2" i="4"/>
  <c r="J3" i="4"/>
  <c r="J4" i="4"/>
  <c r="J5" i="4"/>
  <c r="J6" i="4"/>
  <c r="J7" i="4"/>
  <c r="J8" i="4"/>
  <c r="F3" i="4"/>
  <c r="G3" i="4"/>
  <c r="E3" i="4"/>
  <c r="H3" i="4"/>
  <c r="I3" i="4"/>
  <c r="D5" i="4"/>
  <c r="C4" i="4"/>
  <c r="F4" i="4"/>
  <c r="G4" i="4"/>
  <c r="C5" i="4"/>
  <c r="F5" i="4"/>
  <c r="G5" i="4"/>
  <c r="I4" i="4"/>
  <c r="E4" i="4"/>
  <c r="H4" i="4"/>
  <c r="E5" i="4"/>
  <c r="H5" i="4"/>
  <c r="H9" i="4"/>
  <c r="H10" i="4"/>
  <c r="H11" i="4"/>
  <c r="H6" i="4"/>
  <c r="D6" i="4"/>
  <c r="C6" i="4"/>
  <c r="F6" i="4"/>
  <c r="G6" i="4"/>
  <c r="E6" i="4"/>
  <c r="H12" i="4"/>
  <c r="I6" i="4"/>
  <c r="I5" i="4"/>
  <c r="I2" i="4"/>
  <c r="I7" i="5"/>
  <c r="I9" i="5"/>
  <c r="K6" i="5"/>
  <c r="L6" i="5"/>
  <c r="K5" i="5"/>
  <c r="L5" i="5"/>
  <c r="K4" i="5"/>
  <c r="L4" i="5"/>
  <c r="K3" i="5"/>
  <c r="L3" i="5"/>
  <c r="K2" i="5"/>
  <c r="K7" i="5"/>
  <c r="I10" i="5"/>
  <c r="K9" i="5"/>
  <c r="K12" i="5"/>
  <c r="K11" i="5"/>
  <c r="L2" i="5"/>
  <c r="L7" i="5"/>
  <c r="I8" i="5"/>
</calcChain>
</file>

<file path=xl/sharedStrings.xml><?xml version="1.0" encoding="utf-8"?>
<sst xmlns="http://schemas.openxmlformats.org/spreadsheetml/2006/main" count="54" uniqueCount="37">
  <si>
    <t>A</t>
  </si>
  <si>
    <t>B</t>
  </si>
  <si>
    <t>C</t>
  </si>
  <si>
    <t>LSC 95%</t>
  </si>
  <si>
    <t>LIC 95%</t>
  </si>
  <si>
    <t>EE</t>
  </si>
  <si>
    <t>SUMAS=</t>
  </si>
  <si>
    <t>w</t>
  </si>
  <si>
    <t>w x p</t>
  </si>
  <si>
    <t>Pesos (%)</t>
  </si>
  <si>
    <t>D</t>
  </si>
  <si>
    <t>OR</t>
  </si>
  <si>
    <t>Est.</t>
  </si>
  <si>
    <t>b</t>
  </si>
  <si>
    <t>E</t>
  </si>
  <si>
    <t>Q</t>
  </si>
  <si>
    <t>p=</t>
  </si>
  <si>
    <t>wi^2</t>
  </si>
  <si>
    <t>SUM=</t>
  </si>
  <si>
    <t>tau^2=</t>
  </si>
  <si>
    <t>wi'</t>
  </si>
  <si>
    <t>I^2=</t>
  </si>
  <si>
    <t>Q=</t>
  </si>
  <si>
    <t>b comb.=</t>
  </si>
  <si>
    <t>OR comb.=</t>
  </si>
  <si>
    <t>EEc=</t>
  </si>
  <si>
    <t>LIC 95%=</t>
  </si>
  <si>
    <t>LSC 95%=</t>
  </si>
  <si>
    <t>wi' x b</t>
  </si>
  <si>
    <t>w x b</t>
  </si>
  <si>
    <t>b (fixed)=</t>
  </si>
  <si>
    <t>OR (fixed)=</t>
  </si>
  <si>
    <t>EE fixed=</t>
  </si>
  <si>
    <t>b random=</t>
  </si>
  <si>
    <t>OR random=</t>
  </si>
  <si>
    <t>EE random=</t>
  </si>
  <si>
    <t>p(heterog.)=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</si>
</sst>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74" formatCode="0.0000"/>
    <numFmt numFmtId="175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scheme val="minor"/>
    </font>
    <font>
      <sz val="10"/>
      <color theme="1"/>
      <name val="Arial Narrow"/>
    </font>
    <font>
      <b/>
      <sz val="12"/>
      <color theme="1"/>
      <name val="Calibri"/>
      <family val="2"/>
      <scheme val="minor"/>
    </font>
    <font>
      <sz val="9"/>
      <color theme="1"/>
      <name val="Calibri"/>
      <scheme val="minor"/>
    </font>
    <font>
      <b/>
      <sz val="12"/>
      <color theme="1"/>
      <name val="Arial Narrow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5" xfId="0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74" fontId="0" fillId="0" borderId="0" xfId="0" applyNumberForma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9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7" fillId="0" borderId="10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center"/>
    </xf>
    <xf numFmtId="0" fontId="7" fillId="0" borderId="11" xfId="0" applyFont="1" applyBorder="1" applyAlignment="1">
      <alignment horizontal="right"/>
    </xf>
    <xf numFmtId="164" fontId="3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7" fillId="0" borderId="12" xfId="0" applyFont="1" applyBorder="1" applyAlignment="1">
      <alignment horizontal="right"/>
    </xf>
    <xf numFmtId="164" fontId="3" fillId="0" borderId="6" xfId="0" applyNumberFormat="1" applyFont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/>
    <xf numFmtId="1" fontId="0" fillId="3" borderId="0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164" fontId="0" fillId="3" borderId="5" xfId="0" applyNumberFormat="1" applyFill="1" applyBorder="1"/>
    <xf numFmtId="1" fontId="0" fillId="3" borderId="5" xfId="0" applyNumberFormat="1" applyFill="1" applyBorder="1" applyAlignment="1">
      <alignment horizontal="center"/>
    </xf>
    <xf numFmtId="0" fontId="0" fillId="3" borderId="0" xfId="0" applyFill="1"/>
    <xf numFmtId="2" fontId="4" fillId="3" borderId="0" xfId="0" applyNumberFormat="1" applyFont="1" applyFill="1" applyBorder="1" applyAlignment="1">
      <alignment horizontal="center"/>
    </xf>
    <xf numFmtId="2" fontId="3" fillId="3" borderId="0" xfId="0" applyNumberFormat="1" applyFont="1" applyFill="1" applyBorder="1" applyAlignment="1">
      <alignment horizontal="center"/>
    </xf>
    <xf numFmtId="1" fontId="6" fillId="3" borderId="0" xfId="0" applyNumberFormat="1" applyFon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right"/>
    </xf>
    <xf numFmtId="175" fontId="0" fillId="3" borderId="0" xfId="0" applyNumberFormat="1" applyFill="1" applyBorder="1" applyAlignment="1">
      <alignment horizontal="center"/>
    </xf>
    <xf numFmtId="0" fontId="0" fillId="3" borderId="0" xfId="0" applyFill="1" applyBorder="1"/>
    <xf numFmtId="0" fontId="0" fillId="3" borderId="5" xfId="0" applyFill="1" applyBorder="1"/>
    <xf numFmtId="2" fontId="4" fillId="3" borderId="5" xfId="0" applyNumberFormat="1" applyFont="1" applyFill="1" applyBorder="1" applyAlignment="1">
      <alignment horizontal="center"/>
    </xf>
    <xf numFmtId="164" fontId="5" fillId="3" borderId="5" xfId="0" applyNumberFormat="1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left"/>
    </xf>
    <xf numFmtId="175" fontId="0" fillId="3" borderId="0" xfId="0" applyNumberFormat="1" applyFill="1" applyBorder="1" applyAlignment="1">
      <alignment horizontal="left"/>
    </xf>
    <xf numFmtId="2" fontId="3" fillId="3" borderId="0" xfId="0" applyNumberFormat="1" applyFont="1" applyFill="1" applyBorder="1" applyAlignment="1">
      <alignment horizontal="left"/>
    </xf>
    <xf numFmtId="2" fontId="0" fillId="3" borderId="4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left"/>
    </xf>
    <xf numFmtId="0" fontId="0" fillId="3" borderId="4" xfId="0" applyFill="1" applyBorder="1"/>
    <xf numFmtId="0" fontId="0" fillId="3" borderId="6" xfId="0" applyFill="1" applyBorder="1"/>
  </cellXfs>
  <cellStyles count="11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200" zoomScaleNormal="200" zoomScalePageLayoutView="200" workbookViewId="0">
      <selection activeCell="G14" sqref="G14"/>
    </sheetView>
  </sheetViews>
  <sheetFormatPr baseColWidth="10" defaultRowHeight="15" x14ac:dyDescent="0"/>
  <cols>
    <col min="1" max="1" width="4.1640625" bestFit="1" customWidth="1"/>
    <col min="2" max="2" width="5.83203125" bestFit="1" customWidth="1"/>
    <col min="3" max="3" width="7.33203125" bestFit="1" customWidth="1"/>
    <col min="4" max="4" width="6" bestFit="1" customWidth="1"/>
    <col min="5" max="5" width="6" customWidth="1"/>
    <col min="6" max="6" width="4.33203125" customWidth="1"/>
    <col min="7" max="7" width="7.33203125" customWidth="1"/>
    <col min="8" max="8" width="7" customWidth="1"/>
    <col min="9" max="9" width="9" customWidth="1"/>
    <col min="10" max="10" width="6.83203125" bestFit="1" customWidth="1"/>
    <col min="11" max="11" width="13.5" bestFit="1" customWidth="1"/>
  </cols>
  <sheetData>
    <row r="1" spans="1:10" ht="16" thickBot="1">
      <c r="A1" s="12" t="s">
        <v>12</v>
      </c>
      <c r="B1" s="12" t="s">
        <v>11</v>
      </c>
      <c r="C1" s="12" t="s">
        <v>4</v>
      </c>
      <c r="D1" s="12" t="s">
        <v>3</v>
      </c>
      <c r="E1" s="12" t="s">
        <v>13</v>
      </c>
      <c r="F1" s="12" t="s">
        <v>5</v>
      </c>
      <c r="G1" s="12" t="s">
        <v>7</v>
      </c>
      <c r="H1" s="12" t="s">
        <v>8</v>
      </c>
      <c r="I1" s="12" t="s">
        <v>9</v>
      </c>
      <c r="J1" s="21" t="s">
        <v>15</v>
      </c>
    </row>
    <row r="2" spans="1:10" ht="16" thickTop="1">
      <c r="A2" s="7" t="s">
        <v>0</v>
      </c>
      <c r="B2" s="8">
        <v>0.5</v>
      </c>
      <c r="C2" s="9">
        <f>B2/2</f>
        <v>0.25</v>
      </c>
      <c r="D2" s="9">
        <f>B2*2</f>
        <v>1</v>
      </c>
      <c r="E2" s="10">
        <f>LN(B2)</f>
        <v>-0.69314718055994529</v>
      </c>
      <c r="F2" s="11">
        <f>(LN(D2/C2))/(2*-NORMSINV(0.025))</f>
        <v>0.35365301915106701</v>
      </c>
      <c r="G2" s="11">
        <f>1/(F2^2)</f>
        <v>7.9954932312031355</v>
      </c>
      <c r="H2" s="11">
        <f>G2*E2</f>
        <v>-5.5420535903945805</v>
      </c>
      <c r="I2" s="11">
        <f>G2*100/$G$7</f>
        <v>20.116309238937628</v>
      </c>
      <c r="J2" s="4">
        <f>G2*(E2-$H$8)^2</f>
        <v>7.6384813870371842</v>
      </c>
    </row>
    <row r="3" spans="1:10">
      <c r="A3" s="7" t="s">
        <v>1</v>
      </c>
      <c r="B3" s="8">
        <v>1</v>
      </c>
      <c r="C3" s="9">
        <v>0.5</v>
      </c>
      <c r="D3" s="9">
        <v>2</v>
      </c>
      <c r="E3" s="10">
        <f t="shared" ref="E3" si="0">LN(B3)</f>
        <v>0</v>
      </c>
      <c r="F3" s="11">
        <f t="shared" ref="F3" si="1">(LN(D3/C3))/(2*-NORMSINV(0.025))</f>
        <v>0.35365301915106701</v>
      </c>
      <c r="G3" s="11">
        <f t="shared" ref="G3" si="2">1/(F3^2)</f>
        <v>7.9954932312031355</v>
      </c>
      <c r="H3" s="11">
        <f t="shared" ref="H3" si="3">G3*E3</f>
        <v>0</v>
      </c>
      <c r="I3" s="11">
        <f t="shared" ref="I3" si="4">G3*100/$G$7</f>
        <v>20.116309238937628</v>
      </c>
      <c r="J3" s="4">
        <f t="shared" ref="J3" si="5">G3*(E3-$H$8)^2</f>
        <v>0.64612062257264036</v>
      </c>
    </row>
    <row r="4" spans="1:10">
      <c r="A4" s="7" t="s">
        <v>2</v>
      </c>
      <c r="B4" s="8">
        <v>1.5</v>
      </c>
      <c r="C4" s="9">
        <f>B4/3</f>
        <v>0.5</v>
      </c>
      <c r="D4" s="9">
        <v>4.5</v>
      </c>
      <c r="E4" s="10">
        <f t="shared" ref="E4" si="6">LN(B4)</f>
        <v>0.40546510810816438</v>
      </c>
      <c r="F4" s="11">
        <f t="shared" ref="F4" si="7">(LN(D4/C4))/(2*-NORMSINV(0.025))</f>
        <v>0.56052677362126224</v>
      </c>
      <c r="G4" s="11">
        <f t="shared" ref="G4" si="8">1/(F4^2)</f>
        <v>3.1827848114702793</v>
      </c>
      <c r="H4" s="11">
        <f t="shared" ref="H4" si="9">G4*E4</f>
        <v>1.2905081876678204</v>
      </c>
      <c r="I4" s="11">
        <f t="shared" ref="I4" si="10">G4*100/$G$7</f>
        <v>8.0077465713638691</v>
      </c>
      <c r="J4" s="4">
        <f t="shared" ref="J4:J6" si="11">G4*(E4-$H$8)^2</f>
        <v>4.6747965870396264E-2</v>
      </c>
    </row>
    <row r="5" spans="1:10">
      <c r="A5" s="7" t="s">
        <v>10</v>
      </c>
      <c r="B5" s="8">
        <v>3</v>
      </c>
      <c r="C5" s="9">
        <f>B5/3</f>
        <v>1</v>
      </c>
      <c r="D5" s="9">
        <f>B5*3</f>
        <v>9</v>
      </c>
      <c r="E5" s="10">
        <f t="shared" ref="E5:E6" si="12">LN(B5)</f>
        <v>1.0986122886681098</v>
      </c>
      <c r="F5" s="11">
        <f t="shared" ref="F5:F6" si="13">(LN(D5/C5))/(2*-NORMSINV(0.025))</f>
        <v>0.56052677362126224</v>
      </c>
      <c r="G5" s="11">
        <f t="shared" ref="G5:G6" si="14">1/(F5^2)</f>
        <v>3.1827848114702793</v>
      </c>
      <c r="H5" s="11">
        <f t="shared" ref="H5:H6" si="15">G5*E5</f>
        <v>3.4966465060674619</v>
      </c>
      <c r="I5" s="11">
        <f t="shared" ref="I5:I6" si="16">G5*100/$G$7</f>
        <v>8.0077465713638691</v>
      </c>
      <c r="J5" s="4">
        <f t="shared" si="11"/>
        <v>2.1106637909410226</v>
      </c>
    </row>
    <row r="6" spans="1:10">
      <c r="A6" s="14" t="s">
        <v>14</v>
      </c>
      <c r="B6" s="15">
        <v>2</v>
      </c>
      <c r="C6" s="15">
        <f>B6/1.6</f>
        <v>1.25</v>
      </c>
      <c r="D6" s="16">
        <f>B6*1.6</f>
        <v>3.2</v>
      </c>
      <c r="E6" s="17">
        <f t="shared" si="12"/>
        <v>0.69314718055994529</v>
      </c>
      <c r="F6" s="18">
        <f t="shared" si="13"/>
        <v>0.23980217644460017</v>
      </c>
      <c r="G6" s="18">
        <f t="shared" si="14"/>
        <v>17.389766842155506</v>
      </c>
      <c r="H6" s="18">
        <f t="shared" si="15"/>
        <v>12.053667857234911</v>
      </c>
      <c r="I6" s="18">
        <f t="shared" si="16"/>
        <v>43.751888379397016</v>
      </c>
      <c r="J6" s="17">
        <f t="shared" si="11"/>
        <v>2.9072015180605897</v>
      </c>
    </row>
    <row r="7" spans="1:10">
      <c r="F7" s="1" t="s">
        <v>6</v>
      </c>
      <c r="G7" s="2">
        <f>SUM(G2:G6)</f>
        <v>39.746322927502334</v>
      </c>
      <c r="H7" s="2">
        <f>SUM(H2:H6)</f>
        <v>11.298768960575613</v>
      </c>
      <c r="I7" s="1" t="s">
        <v>22</v>
      </c>
      <c r="J7" s="22">
        <f>SUM(J2:J6)</f>
        <v>13.349215284481833</v>
      </c>
    </row>
    <row r="8" spans="1:10">
      <c r="F8" s="1"/>
      <c r="G8" s="23" t="s">
        <v>23</v>
      </c>
      <c r="H8" s="2">
        <f>H7/G7</f>
        <v>0.28427205659211979</v>
      </c>
      <c r="I8" s="1" t="s">
        <v>16</v>
      </c>
      <c r="J8" s="19">
        <f>CHIDIST(J7,COUNT(J2:J6)-1)</f>
        <v>9.6897130007229451E-3</v>
      </c>
    </row>
    <row r="9" spans="1:10">
      <c r="G9" s="24" t="s">
        <v>24</v>
      </c>
      <c r="H9" s="20">
        <f>EXP(H8)</f>
        <v>1.3287943888550953</v>
      </c>
    </row>
    <row r="10" spans="1:10">
      <c r="G10" s="24" t="s">
        <v>25</v>
      </c>
      <c r="H10" s="10">
        <f>(1/G7)^0.5</f>
        <v>0.15861765377383397</v>
      </c>
    </row>
    <row r="11" spans="1:10">
      <c r="G11" s="24" t="s">
        <v>26</v>
      </c>
      <c r="H11" s="20">
        <f>H9*EXP(H10*-1.96)</f>
        <v>0.97373260605188339</v>
      </c>
    </row>
    <row r="12" spans="1:10">
      <c r="G12" s="24" t="s">
        <v>27</v>
      </c>
      <c r="H12" s="20">
        <f>H9*EXP(H10*1.96)</f>
        <v>1.8133258729129018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zoomScale="150" zoomScaleNormal="150" zoomScalePageLayoutView="150" workbookViewId="0">
      <selection activeCell="L19" sqref="L19"/>
    </sheetView>
  </sheetViews>
  <sheetFormatPr baseColWidth="10" defaultRowHeight="15" x14ac:dyDescent="0"/>
  <cols>
    <col min="1" max="2" width="4.1640625" bestFit="1" customWidth="1"/>
    <col min="3" max="3" width="7.5" bestFit="1" customWidth="1"/>
    <col min="4" max="4" width="8" bestFit="1" customWidth="1"/>
    <col min="5" max="5" width="6.33203125" bestFit="1" customWidth="1"/>
    <col min="6" max="7" width="7.5" bestFit="1" customWidth="1"/>
    <col min="8" max="8" width="9" bestFit="1" customWidth="1"/>
    <col min="9" max="9" width="9.1640625" bestFit="1" customWidth="1"/>
    <col min="10" max="10" width="10.5" customWidth="1"/>
    <col min="11" max="11" width="7" customWidth="1"/>
    <col min="12" max="12" width="11.1640625" bestFit="1" customWidth="1"/>
  </cols>
  <sheetData>
    <row r="1" spans="1:12" ht="16" thickBot="1">
      <c r="A1" s="12" t="s">
        <v>12</v>
      </c>
      <c r="B1" s="12" t="s">
        <v>11</v>
      </c>
      <c r="C1" s="12" t="s">
        <v>4</v>
      </c>
      <c r="D1" s="12" t="s">
        <v>3</v>
      </c>
      <c r="E1" s="12" t="s">
        <v>13</v>
      </c>
      <c r="F1" s="12" t="s">
        <v>5</v>
      </c>
      <c r="G1" s="12" t="s">
        <v>7</v>
      </c>
      <c r="H1" s="12" t="s">
        <v>29</v>
      </c>
      <c r="I1" s="13" t="s">
        <v>15</v>
      </c>
      <c r="J1" s="25" t="s">
        <v>17</v>
      </c>
      <c r="K1" s="26" t="s">
        <v>20</v>
      </c>
      <c r="L1" s="5" t="s">
        <v>28</v>
      </c>
    </row>
    <row r="2" spans="1:12" ht="16" thickTop="1">
      <c r="A2" s="7" t="s">
        <v>0</v>
      </c>
      <c r="B2" s="8">
        <v>0.5</v>
      </c>
      <c r="C2" s="9">
        <f>B2/2</f>
        <v>0.25</v>
      </c>
      <c r="D2" s="9">
        <f>B2*2</f>
        <v>1</v>
      </c>
      <c r="E2" s="34">
        <f>LN(B2)</f>
        <v>-0.69314718055994529</v>
      </c>
      <c r="F2" s="35">
        <f>(LN(D2/C2))/(2*-NORMSINV(0.025))</f>
        <v>0.35365301915106701</v>
      </c>
      <c r="G2" s="35">
        <f>1/(F2^2)</f>
        <v>7.9954932312031355</v>
      </c>
      <c r="H2" s="35">
        <f>G2*E2</f>
        <v>-5.5420535903945805</v>
      </c>
      <c r="I2" s="36">
        <f>G2*(E2-$G$8)^2</f>
        <v>7.6384813870371842</v>
      </c>
      <c r="J2" s="37">
        <f>G2^2</f>
        <v>63.927912010215159</v>
      </c>
      <c r="K2" s="3">
        <f>1/(F2^2+$I$9)</f>
        <v>2.2019851669780151</v>
      </c>
      <c r="L2" s="3">
        <f>K2*E2</f>
        <v>-1.5262998101256315</v>
      </c>
    </row>
    <row r="3" spans="1:12">
      <c r="A3" s="7" t="s">
        <v>1</v>
      </c>
      <c r="B3" s="8">
        <v>1</v>
      </c>
      <c r="C3" s="9">
        <v>0.5</v>
      </c>
      <c r="D3" s="9">
        <v>2</v>
      </c>
      <c r="E3" s="34">
        <f t="shared" ref="E3:E6" si="0">LN(B3)</f>
        <v>0</v>
      </c>
      <c r="F3" s="35">
        <f t="shared" ref="F3:F6" si="1">(LN(D3/C3))/(2*-NORMSINV(0.025))</f>
        <v>0.35365301915106701</v>
      </c>
      <c r="G3" s="35">
        <f t="shared" ref="G3:G6" si="2">1/(F3^2)</f>
        <v>7.9954932312031355</v>
      </c>
      <c r="H3" s="35">
        <f t="shared" ref="H3:H6" si="3">G3*E3</f>
        <v>0</v>
      </c>
      <c r="I3" s="36">
        <f t="shared" ref="I3:I6" si="4">G3*(E3-$G$8)^2</f>
        <v>0.64612062257264036</v>
      </c>
      <c r="J3" s="37">
        <f t="shared" ref="J3:J6" si="5">G3^2</f>
        <v>63.927912010215159</v>
      </c>
      <c r="K3" s="3">
        <f>1/(F3^2+$I$9)</f>
        <v>2.2019851669780151</v>
      </c>
      <c r="L3" s="3">
        <f t="shared" ref="L3:L6" si="6">K3*E3</f>
        <v>0</v>
      </c>
    </row>
    <row r="4" spans="1:12">
      <c r="A4" s="7" t="s">
        <v>2</v>
      </c>
      <c r="B4" s="8">
        <v>1.5</v>
      </c>
      <c r="C4" s="9">
        <f>B4/3</f>
        <v>0.5</v>
      </c>
      <c r="D4" s="9">
        <v>4.5</v>
      </c>
      <c r="E4" s="34">
        <f t="shared" si="0"/>
        <v>0.40546510810816438</v>
      </c>
      <c r="F4" s="35">
        <f t="shared" si="1"/>
        <v>0.56052677362126224</v>
      </c>
      <c r="G4" s="35">
        <f t="shared" si="2"/>
        <v>3.1827848114702793</v>
      </c>
      <c r="H4" s="35">
        <f t="shared" si="3"/>
        <v>1.2905081876678204</v>
      </c>
      <c r="I4" s="36">
        <f t="shared" si="4"/>
        <v>4.6747965870396264E-2</v>
      </c>
      <c r="J4" s="37">
        <f t="shared" si="5"/>
        <v>10.1301191561259</v>
      </c>
      <c r="K4" s="3">
        <f>1/(F4^2+$I$9)</f>
        <v>1.5545922946216393</v>
      </c>
      <c r="L4" s="3">
        <f t="shared" si="6"/>
        <v>0.63033293280288227</v>
      </c>
    </row>
    <row r="5" spans="1:12">
      <c r="A5" s="7" t="s">
        <v>10</v>
      </c>
      <c r="B5" s="8">
        <v>3</v>
      </c>
      <c r="C5" s="9">
        <f>B5/3</f>
        <v>1</v>
      </c>
      <c r="D5" s="9">
        <f>B5*3</f>
        <v>9</v>
      </c>
      <c r="E5" s="34">
        <f t="shared" si="0"/>
        <v>1.0986122886681098</v>
      </c>
      <c r="F5" s="35">
        <f t="shared" si="1"/>
        <v>0.56052677362126224</v>
      </c>
      <c r="G5" s="35">
        <f t="shared" si="2"/>
        <v>3.1827848114702793</v>
      </c>
      <c r="H5" s="35">
        <f t="shared" si="3"/>
        <v>3.4966465060674619</v>
      </c>
      <c r="I5" s="36">
        <f t="shared" si="4"/>
        <v>2.1106637909410226</v>
      </c>
      <c r="J5" s="37">
        <f t="shared" si="5"/>
        <v>10.1301191561259</v>
      </c>
      <c r="K5" s="3">
        <f>1/(F5^2+$I$9)</f>
        <v>1.5545922946216393</v>
      </c>
      <c r="L5" s="3">
        <f t="shared" si="6"/>
        <v>1.7078941987400875</v>
      </c>
    </row>
    <row r="6" spans="1:12">
      <c r="A6" s="14" t="s">
        <v>14</v>
      </c>
      <c r="B6" s="15">
        <v>2</v>
      </c>
      <c r="C6" s="15">
        <f>B6/1.6</f>
        <v>1.25</v>
      </c>
      <c r="D6" s="16">
        <f>B6*1.6</f>
        <v>3.2</v>
      </c>
      <c r="E6" s="38">
        <f t="shared" si="0"/>
        <v>0.69314718055994529</v>
      </c>
      <c r="F6" s="39">
        <f t="shared" si="1"/>
        <v>0.23980217644460017</v>
      </c>
      <c r="G6" s="39">
        <f t="shared" si="2"/>
        <v>17.389766842155506</v>
      </c>
      <c r="H6" s="39">
        <f t="shared" si="3"/>
        <v>12.053667857234911</v>
      </c>
      <c r="I6" s="40">
        <f t="shared" si="4"/>
        <v>2.9072015180605897</v>
      </c>
      <c r="J6" s="41">
        <f t="shared" si="5"/>
        <v>302.40399082453109</v>
      </c>
      <c r="K6" s="3">
        <f>1/(F6^2+$I$9)</f>
        <v>2.5868516577930363</v>
      </c>
      <c r="L6" s="3">
        <f t="shared" si="6"/>
        <v>1.7930689331260634</v>
      </c>
    </row>
    <row r="7" spans="1:12">
      <c r="A7" s="42"/>
      <c r="B7" s="42"/>
      <c r="C7" s="42"/>
      <c r="D7" s="42"/>
      <c r="E7" s="42"/>
      <c r="F7" s="47" t="s">
        <v>18</v>
      </c>
      <c r="G7" s="35">
        <f>SUM(G2:G6)</f>
        <v>39.746322927502334</v>
      </c>
      <c r="H7" s="35">
        <f>SUM(H2:H6)</f>
        <v>11.298768960575613</v>
      </c>
      <c r="I7" s="44">
        <f>SUM(I2:I6)</f>
        <v>13.349215284481833</v>
      </c>
      <c r="J7" s="48">
        <f>SUM(J2:J6)</f>
        <v>450.52005315721323</v>
      </c>
      <c r="K7" s="35">
        <f>SUM(K2:K6)</f>
        <v>10.100006580992346</v>
      </c>
      <c r="L7" s="56">
        <f>SUM(L2:L6)</f>
        <v>2.6049962545434018</v>
      </c>
    </row>
    <row r="8" spans="1:12">
      <c r="A8" s="42"/>
      <c r="B8" s="42"/>
      <c r="C8" s="42"/>
      <c r="D8" s="42"/>
      <c r="E8" s="42"/>
      <c r="F8" s="43" t="s">
        <v>30</v>
      </c>
      <c r="G8" s="35">
        <f>H7/G7</f>
        <v>0.28427205659211979</v>
      </c>
      <c r="H8" s="45" t="s">
        <v>36</v>
      </c>
      <c r="I8" s="55">
        <f>CHIDIST(I7,COUNT(I2:I6)-1)</f>
        <v>9.6897130007229451E-3</v>
      </c>
      <c r="J8" s="27" t="s">
        <v>33</v>
      </c>
      <c r="K8" s="28">
        <f>L7/K7</f>
        <v>0.25792025318536532</v>
      </c>
      <c r="L8" s="57" t="str">
        <f>"=2.6/10.1"</f>
        <v>=2.6/10.1</v>
      </c>
    </row>
    <row r="9" spans="1:12">
      <c r="A9" s="42"/>
      <c r="B9" s="42"/>
      <c r="C9" s="42"/>
      <c r="D9" s="42"/>
      <c r="E9" s="42"/>
      <c r="F9" s="43" t="s">
        <v>31</v>
      </c>
      <c r="G9" s="46">
        <f>EXP(G8)</f>
        <v>1.3287943888550953</v>
      </c>
      <c r="H9" s="47" t="s">
        <v>19</v>
      </c>
      <c r="I9" s="53">
        <f>(I7-COUNT(J2:J6)+1)/(G7-(J7/G7))</f>
        <v>0.32906520789652294</v>
      </c>
      <c r="J9" s="29" t="s">
        <v>34</v>
      </c>
      <c r="K9" s="30">
        <f>EXP(K8)</f>
        <v>1.2942356033419942</v>
      </c>
      <c r="L9" s="58"/>
    </row>
    <row r="10" spans="1:12">
      <c r="A10" s="42"/>
      <c r="B10" s="42"/>
      <c r="C10" s="42"/>
      <c r="D10" s="42"/>
      <c r="E10" s="42"/>
      <c r="F10" s="43" t="s">
        <v>32</v>
      </c>
      <c r="G10" s="34">
        <f>1/(G7^0.5)</f>
        <v>0.15861765377383397</v>
      </c>
      <c r="H10" s="47" t="s">
        <v>21</v>
      </c>
      <c r="I10" s="54">
        <f>100*(I7-COUNT(J2:J6)+1)/I7</f>
        <v>70.035691875836989</v>
      </c>
      <c r="J10" s="29" t="s">
        <v>35</v>
      </c>
      <c r="K10" s="31">
        <f>(1/K7)^0.5</f>
        <v>0.31465828525073525</v>
      </c>
      <c r="L10" s="58" t="str">
        <f>"=1/10.1^0.5"</f>
        <v>=1/10.1^0.5</v>
      </c>
    </row>
    <row r="11" spans="1:12">
      <c r="A11" s="49"/>
      <c r="B11" s="49"/>
      <c r="C11" s="49"/>
      <c r="D11" s="49"/>
      <c r="E11" s="49"/>
      <c r="F11" s="43" t="s">
        <v>26</v>
      </c>
      <c r="G11" s="46">
        <f>G9*EXP(-1.96*G10)</f>
        <v>0.97373260605188339</v>
      </c>
      <c r="I11" s="49"/>
      <c r="J11" s="29" t="s">
        <v>26</v>
      </c>
      <c r="K11" s="30">
        <f>K9*EXP(K10*-1.96)</f>
        <v>0.69850706492949144</v>
      </c>
      <c r="L11" s="58"/>
    </row>
    <row r="12" spans="1:12">
      <c r="A12" s="50"/>
      <c r="B12" s="50"/>
      <c r="C12" s="50"/>
      <c r="D12" s="50"/>
      <c r="E12" s="50"/>
      <c r="F12" s="51" t="s">
        <v>27</v>
      </c>
      <c r="G12" s="52">
        <f>G9*EXP(1.96*G10)</f>
        <v>1.8133258729129018</v>
      </c>
      <c r="H12" s="50"/>
      <c r="I12" s="50"/>
      <c r="J12" s="32" t="s">
        <v>27</v>
      </c>
      <c r="K12" s="33">
        <f>K9*EXP(K10*1.96)</f>
        <v>2.3980370150258934</v>
      </c>
      <c r="L12" s="59"/>
    </row>
    <row r="13" spans="1:1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8" spans="11:11">
      <c r="K18">
        <f>1/10.1^0.5</f>
        <v>0.3146583877637763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ODDS RATIOS</vt:lpstr>
      <vt:lpstr>Random</vt:lpstr>
    </vt:vector>
  </TitlesOfParts>
  <Company>UNIVERSIDAD DE NAVARRA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MARTINEZ GONZALEZ</dc:creator>
  <cp:lastModifiedBy>MIGUEL ANGEL MARTINEZ GONZALEZ</cp:lastModifiedBy>
  <dcterms:created xsi:type="dcterms:W3CDTF">2013-09-07T16:21:11Z</dcterms:created>
  <dcterms:modified xsi:type="dcterms:W3CDTF">2013-09-08T11:27:42Z</dcterms:modified>
</cp:coreProperties>
</file>